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 Assessment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&quot;$&quot;#,##0.00"/>
    <numFmt numFmtId="166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1E293B"/>
      <sz val="16"/>
    </font>
    <font>
      <name val="Calibri"/>
      <b val="1"/>
      <color rgb="001E293B"/>
      <sz val="14"/>
    </font>
    <font>
      <b val="1"/>
      <color rgb="001E293B"/>
      <sz val="12"/>
    </font>
    <font>
      <b val="1"/>
      <color rgb="001E293B"/>
    </font>
    <font>
      <name val="Calibri"/>
      <b val="1"/>
      <color rgb="00FFFFFF"/>
      <sz val="16"/>
    </font>
    <font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C8102E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0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9" fontId="0" fillId="3" borderId="1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3" borderId="0" pivotButton="0" quotePrefix="0" xfId="0"/>
    <xf numFmtId="0" fontId="2" fillId="0" borderId="0" pivotButton="0" quotePrefix="0" xfId="0"/>
    <xf numFmtId="0" fontId="0" fillId="0" borderId="4" pivotButton="0" quotePrefix="0" xfId="0"/>
    <xf numFmtId="0" fontId="1" fillId="5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9" fontId="3" fillId="4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1" fillId="2" borderId="0" pivotButton="0" quotePrefix="0" xfId="0"/>
    <xf numFmtId="0" fontId="0" fillId="0" borderId="1" pivotButton="0" quotePrefix="0" xfId="0"/>
    <xf numFmtId="166" fontId="0" fillId="0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  <xf numFmtId="0" fontId="0" fillId="4" borderId="1" pivotButton="0" quotePrefix="0" xfId="0"/>
    <xf numFmtId="166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0" fillId="4" borderId="1" pivotButton="0" quotePrefix="0" xfId="0"/>
    <xf numFmtId="0" fontId="6" fillId="2" borderId="0" applyAlignment="1" pivotButton="0" quotePrefix="0" xfId="0">
      <alignment horizontal="left" vertical="center" wrapText="1"/>
    </xf>
    <xf numFmtId="0" fontId="7" fillId="5" borderId="1" pivotButton="0" quotePrefix="0" xfId="0"/>
    <xf numFmtId="0" fontId="0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6" fontId="0" fillId="0" borderId="1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 wrapText="1"/>
    </xf>
    <xf numFmtId="166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164" fontId="0" fillId="4" borderId="1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</font>
      <fill>
        <patternFill patternType="solid">
          <fgColor rgb="00DC2626"/>
        </patternFill>
      </fill>
    </dxf>
    <dxf>
      <fill>
        <patternFill patternType="solid">
          <fgColor rgb="00F4A62A"/>
        </patternFill>
      </fill>
    </dxf>
    <dxf>
      <font>
        <name val="Calibri"/>
        <b val="1"/>
        <color rgb="00FFFFFF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Risks by Rating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'Dashboard'!C12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'Dashboard'!$B$13:$B$16</f>
            </numRef>
          </cat>
          <val>
            <numRef>
              <f>'Dashboard'!$C$13:$C$16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Risks by Compliance Area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'Dashboard'!E12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'Dashboard'!$D$13:$D$20</f>
            </numRef>
          </cat>
          <val>
            <numRef>
              <f>'Dashboard'!$E$13:$E$20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vs Actual Remediation Cost by Area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'Dashboard'!G12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'Dashboard'!$D$13:$D$20</f>
            </numRef>
          </cat>
          <val>
            <numRef>
              <f>'Dashboard'!$G$13:$G$20</f>
            </numRef>
          </val>
        </ser>
        <ser>
          <idx val="1"/>
          <order val="1"/>
          <tx>
            <strRef>
              <f>'Dashboard'!H12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'Dashboard'!$D$13:$D$20</f>
            </numRef>
          </cat>
          <val>
            <numRef>
              <f>'Dashboard'!$H$13:$H$20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</col>
      <colOff>0</colOff>
      <row>31</row>
      <rowOff>0</rowOff>
    </from>
    <ext cx="36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31</row>
      <rowOff>0</rowOff>
    </from>
    <ext cx="46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49</row>
      <rowOff>0</rowOff>
    </from>
    <ext cx="540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iskAssessmentTable" displayName="RiskAssessmentTable" ref="A1:X10" headerRowCount="1">
  <autoFilter ref="A1:X10"/>
  <tableColumns count="24">
    <tableColumn id="1" name="Risk ID"/>
    <tableColumn id="2" name="Assessment Date"/>
    <tableColumn id="3" name="Business Unit"/>
    <tableColumn id="4" name="Location"/>
    <tableColumn id="5" name="Compliance Area"/>
    <tableColumn id="6" name="Requirement / Regulation"/>
    <tableColumn id="7" name="Risk Description"/>
    <tableColumn id="8" name="Risk Owner"/>
    <tableColumn id="9" name="Likelihood (1-5)"/>
    <tableColumn id="10" name="Impact (1-5)"/>
    <tableColumn id="11" name="Inherent Risk Score"/>
    <tableColumn id="12" name="Existing Controls"/>
    <tableColumn id="13" name="Control Effectiveness (%)"/>
    <tableColumn id="14" name="Residual Risk Score"/>
    <tableColumn id="15" name="Risk Rating"/>
    <tableColumn id="16" name="Remediation Required?"/>
    <tableColumn id="17" name="Action Plan"/>
    <tableColumn id="18" name="Target Date"/>
    <tableColumn id="19" name="Status"/>
    <tableColumn id="20" name="Estimated Remediation Cost"/>
    <tableColumn id="21" name="Actual Remediation Cost"/>
    <tableColumn id="22" name="Days to Target"/>
    <tableColumn id="23" name="Overdue Flag"/>
    <tableColumn id="24" name="Evidence / Notes"/>
  </tableColumns>
  <tableStyleInfo name="TableStyleMedium2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6" customWidth="1" min="3" max="3"/>
    <col width="16" customWidth="1" min="4" max="4"/>
    <col width="17" customWidth="1" min="5" max="5"/>
    <col width="26" customWidth="1" min="6" max="6"/>
    <col width="34" customWidth="1" min="7" max="7"/>
    <col width="15" customWidth="1" min="8" max="8"/>
    <col width="12" customWidth="1" min="9" max="9"/>
    <col width="11" customWidth="1" min="10" max="10"/>
    <col width="12" customWidth="1" min="11" max="11"/>
    <col width="30" customWidth="1" min="12" max="12"/>
    <col width="12" customWidth="1" min="13" max="13"/>
    <col width="12" customWidth="1" min="14" max="14"/>
    <col width="11" customWidth="1" min="15" max="15"/>
    <col width="13" customWidth="1" min="16" max="16"/>
    <col width="34" customWidth="1" min="17" max="17"/>
    <col width="13" customWidth="1" min="18" max="18"/>
    <col width="12" customWidth="1" min="19" max="19"/>
    <col width="15" customWidth="1" min="20" max="20"/>
    <col width="15" customWidth="1" min="21" max="21"/>
    <col width="11" customWidth="1" min="22" max="22"/>
    <col width="11" customWidth="1" min="23" max="23"/>
    <col width="32" customWidth="1" min="24" max="24"/>
  </cols>
  <sheetData>
    <row r="1" ht="32" customHeight="1">
      <c r="A1" s="1" t="inlineStr">
        <is>
          <t>Risk ID</t>
        </is>
      </c>
      <c r="B1" s="1" t="inlineStr">
        <is>
          <t>Assessment Date</t>
        </is>
      </c>
      <c r="C1" s="1" t="inlineStr">
        <is>
          <t>Business Unit</t>
        </is>
      </c>
      <c r="D1" s="1" t="inlineStr">
        <is>
          <t>Location</t>
        </is>
      </c>
      <c r="E1" s="1" t="inlineStr">
        <is>
          <t>Compliance Area</t>
        </is>
      </c>
      <c r="F1" s="1" t="inlineStr">
        <is>
          <t>Requirement / Regulation</t>
        </is>
      </c>
      <c r="G1" s="1" t="inlineStr">
        <is>
          <t>Risk Description</t>
        </is>
      </c>
      <c r="H1" s="1" t="inlineStr">
        <is>
          <t>Risk Owner</t>
        </is>
      </c>
      <c r="I1" s="1" t="inlineStr">
        <is>
          <t>Likelihood (1-5)</t>
        </is>
      </c>
      <c r="J1" s="1" t="inlineStr">
        <is>
          <t>Impact (1-5)</t>
        </is>
      </c>
      <c r="K1" s="1" t="inlineStr">
        <is>
          <t>Inherent Risk Score</t>
        </is>
      </c>
      <c r="L1" s="1" t="inlineStr">
        <is>
          <t>Existing Controls</t>
        </is>
      </c>
      <c r="M1" s="1" t="inlineStr">
        <is>
          <t>Control Effectiveness (%)</t>
        </is>
      </c>
      <c r="N1" s="1" t="inlineStr">
        <is>
          <t>Residual Risk Score</t>
        </is>
      </c>
      <c r="O1" s="1" t="inlineStr">
        <is>
          <t>Risk Rating</t>
        </is>
      </c>
      <c r="P1" s="1" t="inlineStr">
        <is>
          <t>Remediation Required?</t>
        </is>
      </c>
      <c r="Q1" s="1" t="inlineStr">
        <is>
          <t>Action Plan</t>
        </is>
      </c>
      <c r="R1" s="1" t="inlineStr">
        <is>
          <t>Target Date</t>
        </is>
      </c>
      <c r="S1" s="1" t="inlineStr">
        <is>
          <t>Status</t>
        </is>
      </c>
      <c r="T1" s="1" t="inlineStr">
        <is>
          <t>Estimated Remediation Cost</t>
        </is>
      </c>
      <c r="U1" s="1" t="inlineStr">
        <is>
          <t>Actual Remediation Cost</t>
        </is>
      </c>
      <c r="V1" s="1" t="inlineStr">
        <is>
          <t>Days to Target</t>
        </is>
      </c>
      <c r="W1" s="1" t="inlineStr">
        <is>
          <t>Overdue Flag</t>
        </is>
      </c>
      <c r="X1" s="1" t="inlineStr">
        <is>
          <t>Evidence / Notes</t>
        </is>
      </c>
    </row>
    <row r="2">
      <c r="A2" s="2" t="inlineStr">
        <is>
          <t>RA-001</t>
        </is>
      </c>
      <c r="B2" s="31" t="n">
        <v>46037</v>
      </c>
      <c r="C2" s="4" t="inlineStr">
        <is>
          <t>IT Security</t>
        </is>
      </c>
      <c r="D2" s="4" t="inlineStr">
        <is>
          <t>New York, NY</t>
        </is>
      </c>
      <c r="E2" s="5" t="inlineStr">
        <is>
          <t>Information Security</t>
        </is>
      </c>
      <c r="F2" s="4" t="inlineStr">
        <is>
          <t>SOC 2 / Internal Access Policy</t>
        </is>
      </c>
      <c r="G2" s="4" t="inlineStr">
        <is>
          <t>Quarterly user access reviews not completed for privileged accounts</t>
        </is>
      </c>
      <c r="H2" s="5" t="inlineStr">
        <is>
          <t>James Carter</t>
        </is>
      </c>
      <c r="I2" s="5" t="n">
        <v>4</v>
      </c>
      <c r="J2" s="5" t="n">
        <v>5</v>
      </c>
      <c r="K2" s="2">
        <f>I2*J2</f>
        <v/>
      </c>
      <c r="L2" s="4" t="inlineStr">
        <is>
          <t>Role-based access control; annual access attestation</t>
        </is>
      </c>
      <c r="M2" s="6" t="n">
        <v>0.45</v>
      </c>
      <c r="N2" s="2">
        <f>ROUND(K2*(1-M2),1)</f>
        <v/>
      </c>
      <c r="O2" s="2">
        <f>IF(N2&gt;=15,"Critical",IF(N2&gt;=8,"High",IF(N2&gt;=4,"Medium","Low")))</f>
        <v/>
      </c>
      <c r="P2" s="2">
        <f>IF(OR(O2="Critical",O2="High"),"Yes","No")</f>
        <v/>
      </c>
      <c r="Q2" s="4" t="inlineStr">
        <is>
          <t>Implement automated quarterly access review workflow and revoke stale accounts</t>
        </is>
      </c>
      <c r="R2" s="31" t="n">
        <v>46142</v>
      </c>
      <c r="S2" s="5" t="inlineStr">
        <is>
          <t>In Progress</t>
        </is>
      </c>
      <c r="T2" s="32" t="n">
        <v>18000</v>
      </c>
      <c r="U2" s="32" t="n">
        <v>9500</v>
      </c>
      <c r="V2" s="2">
        <f>IFERROR(R2-TODAY(),"")</f>
        <v/>
      </c>
      <c r="W2" s="2">
        <f>IF(AND(R2&lt;TODAY(),S2&lt;&gt;"Closed"),"Overdue","On Track")</f>
        <v/>
      </c>
      <c r="X2" s="4" t="inlineStr">
        <is>
          <t>Access review report Q1 2026; IAM tool export</t>
        </is>
      </c>
    </row>
    <row r="3">
      <c r="A3" s="8" t="inlineStr">
        <is>
          <t>RA-002</t>
        </is>
      </c>
      <c r="B3" s="31" t="n">
        <v>46059</v>
      </c>
      <c r="C3" s="4" t="inlineStr">
        <is>
          <t>Marketing</t>
        </is>
      </c>
      <c r="D3" s="4" t="inlineStr">
        <is>
          <t>Los Angeles, CA</t>
        </is>
      </c>
      <c r="E3" s="5" t="inlineStr">
        <is>
          <t>Privacy</t>
        </is>
      </c>
      <c r="F3" s="4" t="inlineStr">
        <is>
          <t>CCPA / State Privacy Laws</t>
        </is>
      </c>
      <c r="G3" s="4" t="inlineStr">
        <is>
          <t>Consumer data retained beyond documented retention schedule</t>
        </is>
      </c>
      <c r="H3" s="5" t="inlineStr">
        <is>
          <t>Emily Brooks</t>
        </is>
      </c>
      <c r="I3" s="5" t="n">
        <v>3</v>
      </c>
      <c r="J3" s="5" t="n">
        <v>4</v>
      </c>
      <c r="K3" s="8">
        <f>I3*J3</f>
        <v/>
      </c>
      <c r="L3" s="4" t="inlineStr">
        <is>
          <t>Data retention policy; manual deletion requests</t>
        </is>
      </c>
      <c r="M3" s="6" t="n">
        <v>0.6</v>
      </c>
      <c r="N3" s="8">
        <f>ROUND(K3*(1-M3),1)</f>
        <v/>
      </c>
      <c r="O3" s="8">
        <f>IF(N3&gt;=15,"Critical",IF(N3&gt;=8,"High",IF(N3&gt;=4,"Medium","Low")))</f>
        <v/>
      </c>
      <c r="P3" s="8">
        <f>IF(OR(O3="Critical",O3="High"),"Yes","No")</f>
        <v/>
      </c>
      <c r="Q3" s="4" t="inlineStr">
        <is>
          <t>Deploy automated retention enforcement and update privacy notices</t>
        </is>
      </c>
      <c r="R3" s="31" t="n">
        <v>46188</v>
      </c>
      <c r="S3" s="5" t="inlineStr">
        <is>
          <t>Closed</t>
        </is>
      </c>
      <c r="T3" s="32" t="n">
        <v>12500</v>
      </c>
      <c r="U3" s="32" t="n">
        <v>11800</v>
      </c>
      <c r="V3" s="8">
        <f>IFERROR(R3-TODAY(),"")</f>
        <v/>
      </c>
      <c r="W3" s="8">
        <f>IF(AND(R3&lt;TODAY(),S3&lt;&gt;"Closed"),"Overdue","On Track")</f>
        <v/>
      </c>
      <c r="X3" s="4" t="inlineStr">
        <is>
          <t>Retention schedule v3; deletion log March 2026</t>
        </is>
      </c>
    </row>
    <row r="4">
      <c r="A4" s="2" t="inlineStr">
        <is>
          <t>RA-003</t>
        </is>
      </c>
      <c r="B4" s="31" t="n">
        <v>46080</v>
      </c>
      <c r="C4" s="4" t="inlineStr">
        <is>
          <t>Human Resources</t>
        </is>
      </c>
      <c r="D4" s="4" t="inlineStr">
        <is>
          <t>Chicago, IL</t>
        </is>
      </c>
      <c r="E4" s="5" t="inlineStr">
        <is>
          <t>Employment</t>
        </is>
      </c>
      <c r="F4" s="4" t="inlineStr">
        <is>
          <t>USCIS Form I-9 / IRCA</t>
        </is>
      </c>
      <c r="G4" s="4" t="inlineStr">
        <is>
          <t>Missing or incomplete I-9 documentation for recent hires</t>
        </is>
      </c>
      <c r="H4" s="5" t="inlineStr">
        <is>
          <t>Michael Turner</t>
        </is>
      </c>
      <c r="I4" s="5" t="n">
        <v>4</v>
      </c>
      <c r="J4" s="5" t="n">
        <v>4</v>
      </c>
      <c r="K4" s="2">
        <f>I4*J4</f>
        <v/>
      </c>
      <c r="L4" s="4" t="inlineStr">
        <is>
          <t>HR onboarding checklist; annual I-9 audit</t>
        </is>
      </c>
      <c r="M4" s="6" t="n">
        <v>0.35</v>
      </c>
      <c r="N4" s="2">
        <f>ROUND(K4*(1-M4),1)</f>
        <v/>
      </c>
      <c r="O4" s="2">
        <f>IF(N4&gt;=15,"Critical",IF(N4&gt;=8,"High",IF(N4&gt;=4,"Medium","Low")))</f>
        <v/>
      </c>
      <c r="P4" s="2">
        <f>IF(OR(O4="Critical",O4="High"),"Yes","No")</f>
        <v/>
      </c>
      <c r="Q4" s="4" t="inlineStr">
        <is>
          <t>Conduct full I-9 self-audit and remediate deficiencies within 60 days</t>
        </is>
      </c>
      <c r="R4" s="31" t="n">
        <v>46173</v>
      </c>
      <c r="S4" s="5" t="inlineStr">
        <is>
          <t>In Progress</t>
        </is>
      </c>
      <c r="T4" s="32" t="n">
        <v>8500</v>
      </c>
      <c r="U4" s="32" t="n">
        <v>4200</v>
      </c>
      <c r="V4" s="2">
        <f>IFERROR(R4-TODAY(),"")</f>
        <v/>
      </c>
      <c r="W4" s="2">
        <f>IF(AND(R4&lt;TODAY(),S4&lt;&gt;"Closed"),"Overdue","On Track")</f>
        <v/>
      </c>
      <c r="X4" s="4" t="inlineStr">
        <is>
          <t>HRIS audit sample; corrective action tracker</t>
        </is>
      </c>
    </row>
    <row r="5">
      <c r="A5" s="8" t="inlineStr">
        <is>
          <t>RA-004</t>
        </is>
      </c>
      <c r="B5" s="31" t="n">
        <v>46094</v>
      </c>
      <c r="C5" s="4" t="inlineStr">
        <is>
          <t>Operations</t>
        </is>
      </c>
      <c r="D5" s="4" t="inlineStr">
        <is>
          <t>Houston, TX</t>
        </is>
      </c>
      <c r="E5" s="5" t="inlineStr">
        <is>
          <t>OSHA</t>
        </is>
      </c>
      <c r="F5" s="4" t="inlineStr">
        <is>
          <t>OSHA 29 CFR 1910 Training Requirements</t>
        </is>
      </c>
      <c r="G5" s="4" t="inlineStr">
        <is>
          <t>Incomplete workplace safety training records for warehouse staff</t>
        </is>
      </c>
      <c r="H5" s="5" t="inlineStr">
        <is>
          <t>Ashley Morgan</t>
        </is>
      </c>
      <c r="I5" s="5" t="n">
        <v>3</v>
      </c>
      <c r="J5" s="5" t="n">
        <v>5</v>
      </c>
      <c r="K5" s="8">
        <f>I5*J5</f>
        <v/>
      </c>
      <c r="L5" s="4" t="inlineStr">
        <is>
          <t>LMS tracking; supervisor spot checks</t>
        </is>
      </c>
      <c r="M5" s="6" t="n">
        <v>0.55</v>
      </c>
      <c r="N5" s="8">
        <f>ROUND(K5*(1-M5),1)</f>
        <v/>
      </c>
      <c r="O5" s="8">
        <f>IF(N5&gt;=15,"Critical",IF(N5&gt;=8,"High",IF(N5&gt;=4,"Medium","Low")))</f>
        <v/>
      </c>
      <c r="P5" s="8">
        <f>IF(OR(O5="Critical",O5="High"),"Yes","No")</f>
        <v/>
      </c>
      <c r="Q5" s="4" t="inlineStr">
        <is>
          <t>Reconcile LMS records, schedule make-up training, update tracking</t>
        </is>
      </c>
      <c r="R5" s="31" t="n">
        <v>46127</v>
      </c>
      <c r="S5" s="5" t="inlineStr">
        <is>
          <t>Closed</t>
        </is>
      </c>
      <c r="T5" s="32" t="n">
        <v>5200</v>
      </c>
      <c r="U5" s="32" t="n">
        <v>4900</v>
      </c>
      <c r="V5" s="8">
        <f>IFERROR(R5-TODAY(),"")</f>
        <v/>
      </c>
      <c r="W5" s="8">
        <f>IF(AND(R5&lt;TODAY(),S5&lt;&gt;"Closed"),"Overdue","On Track")</f>
        <v/>
      </c>
      <c r="X5" s="4" t="inlineStr">
        <is>
          <t>LMS completion report; sign-in sheets</t>
        </is>
      </c>
    </row>
    <row r="6">
      <c r="A6" s="2" t="inlineStr">
        <is>
          <t>RA-005</t>
        </is>
      </c>
      <c r="B6" s="31" t="n">
        <v>46115</v>
      </c>
      <c r="C6" s="4" t="inlineStr">
        <is>
          <t>Finance</t>
        </is>
      </c>
      <c r="D6" s="4" t="inlineStr">
        <is>
          <t>Dallas, TX</t>
        </is>
      </c>
      <c r="E6" s="5" t="inlineStr">
        <is>
          <t>Financial Reporting</t>
        </is>
      </c>
      <c r="F6" s="4" t="inlineStr">
        <is>
          <t>SOX 404 / Internal Approval Matrix</t>
        </is>
      </c>
      <c r="G6" s="4" t="inlineStr">
        <is>
          <t>Journal entries posted without required secondary approval</t>
        </is>
      </c>
      <c r="H6" s="5" t="inlineStr">
        <is>
          <t>David Wilson</t>
        </is>
      </c>
      <c r="I6" s="5" t="n">
        <v>4</v>
      </c>
      <c r="J6" s="5" t="n">
        <v>5</v>
      </c>
      <c r="K6" s="2">
        <f>I6*J6</f>
        <v/>
      </c>
      <c r="L6" s="4" t="inlineStr">
        <is>
          <t>ERP approval workflow; monthly review</t>
        </is>
      </c>
      <c r="M6" s="6" t="n">
        <v>0.4</v>
      </c>
      <c r="N6" s="2">
        <f>ROUND(K6*(1-M6),1)</f>
        <v/>
      </c>
      <c r="O6" s="2">
        <f>IF(N6&gt;=15,"Critical",IF(N6&gt;=8,"High",IF(N6&gt;=4,"Medium","Low")))</f>
        <v/>
      </c>
      <c r="P6" s="2">
        <f>IF(OR(O6="Critical",O6="High"),"Yes","No")</f>
        <v/>
      </c>
      <c r="Q6" s="4" t="inlineStr">
        <is>
          <t>Enforce mandatory dual-approval workflow in ERP for all manual entries</t>
        </is>
      </c>
      <c r="R6" s="31" t="n">
        <v>46265</v>
      </c>
      <c r="S6" s="5" t="inlineStr">
        <is>
          <t>Open</t>
        </is>
      </c>
      <c r="T6" s="32" t="n">
        <v>28000</v>
      </c>
      <c r="U6" s="32" t="n">
        <v>0</v>
      </c>
      <c r="V6" s="2">
        <f>IFERROR(R6-TODAY(),"")</f>
        <v/>
      </c>
      <c r="W6" s="2">
        <f>IF(AND(R6&lt;TODAY(),S6&lt;&gt;"Closed"),"Overdue","On Track")</f>
        <v/>
      </c>
      <c r="X6" s="4" t="inlineStr">
        <is>
          <t>ERP exception report; JE sampling memo</t>
        </is>
      </c>
    </row>
    <row r="7">
      <c r="A7" s="8" t="inlineStr">
        <is>
          <t>RA-006</t>
        </is>
      </c>
      <c r="B7" s="31" t="n">
        <v>46136</v>
      </c>
      <c r="C7" s="4" t="inlineStr">
        <is>
          <t>Payroll</t>
        </is>
      </c>
      <c r="D7" s="4" t="inlineStr">
        <is>
          <t>Phoenix, AZ</t>
        </is>
      </c>
      <c r="E7" s="5" t="inlineStr">
        <is>
          <t>Payroll</t>
        </is>
      </c>
      <c r="F7" s="4" t="inlineStr">
        <is>
          <t>IRS W-2 / 1099 Reporting / FICA</t>
        </is>
      </c>
      <c r="G7" s="4" t="inlineStr">
        <is>
          <t>Discrepancies between payroll register and W-2 / 1099 filings</t>
        </is>
      </c>
      <c r="H7" s="5" t="inlineStr">
        <is>
          <t>Jessica Reed</t>
        </is>
      </c>
      <c r="I7" s="5" t="n">
        <v>3</v>
      </c>
      <c r="J7" s="5" t="n">
        <v>4</v>
      </c>
      <c r="K7" s="8">
        <f>I7*J7</f>
        <v/>
      </c>
      <c r="L7" s="4" t="inlineStr">
        <is>
          <t>Quarterly reconciliation; third-party payroll provider review</t>
        </is>
      </c>
      <c r="M7" s="6" t="n">
        <v>0.65</v>
      </c>
      <c r="N7" s="8">
        <f>ROUND(K7*(1-M7),1)</f>
        <v/>
      </c>
      <c r="O7" s="8">
        <f>IF(N7&gt;=15,"Critical",IF(N7&gt;=8,"High",IF(N7&gt;=4,"Medium","Low")))</f>
        <v/>
      </c>
      <c r="P7" s="8">
        <f>IF(OR(O7="Critical",O7="High"),"Yes","No")</f>
        <v/>
      </c>
      <c r="Q7" s="4" t="inlineStr">
        <is>
          <t>Perform year-to-date reconciliation and file corrected forms if needed</t>
        </is>
      </c>
      <c r="R7" s="31" t="n">
        <v>46234</v>
      </c>
      <c r="S7" s="5" t="inlineStr">
        <is>
          <t>In Progress</t>
        </is>
      </c>
      <c r="T7" s="32" t="n">
        <v>6800</v>
      </c>
      <c r="U7" s="32" t="n">
        <v>2100</v>
      </c>
      <c r="V7" s="8">
        <f>IFERROR(R7-TODAY(),"")</f>
        <v/>
      </c>
      <c r="W7" s="8">
        <f>IF(AND(R7&lt;TODAY(),S7&lt;&gt;"Closed"),"Overdue","On Track")</f>
        <v/>
      </c>
      <c r="X7" s="4" t="inlineStr">
        <is>
          <t>Q1 2026 reconciliation workbook</t>
        </is>
      </c>
    </row>
    <row r="8">
      <c r="A8" s="2" t="inlineStr">
        <is>
          <t>RA-007</t>
        </is>
      </c>
      <c r="B8" s="31" t="n">
        <v>46157</v>
      </c>
      <c r="C8" s="4" t="inlineStr">
        <is>
          <t>Procurement</t>
        </is>
      </c>
      <c r="D8" s="4" t="inlineStr">
        <is>
          <t>Seattle, WA</t>
        </is>
      </c>
      <c r="E8" s="5" t="inlineStr">
        <is>
          <t>Vendor Management</t>
        </is>
      </c>
      <c r="F8" s="4" t="inlineStr">
        <is>
          <t>Vendor Risk Policy / PCI DSS 12.8</t>
        </is>
      </c>
      <c r="G8" s="4" t="inlineStr">
        <is>
          <t>Third-party vendors onboarded without completed due diligence</t>
        </is>
      </c>
      <c r="H8" s="5" t="inlineStr">
        <is>
          <t>Chris Bennett</t>
        </is>
      </c>
      <c r="I8" s="5" t="n">
        <v>3</v>
      </c>
      <c r="J8" s="5" t="n">
        <v>3</v>
      </c>
      <c r="K8" s="2">
        <f>I8*J8</f>
        <v/>
      </c>
      <c r="L8" s="4" t="inlineStr">
        <is>
          <t>Vendor intake form; contract review</t>
        </is>
      </c>
      <c r="M8" s="6" t="n">
        <v>0.5</v>
      </c>
      <c r="N8" s="2">
        <f>ROUND(K8*(1-M8),1)</f>
        <v/>
      </c>
      <c r="O8" s="2">
        <f>IF(N8&gt;=15,"Critical",IF(N8&gt;=8,"High",IF(N8&gt;=4,"Medium","Low")))</f>
        <v/>
      </c>
      <c r="P8" s="2">
        <f>IF(OR(O8="Critical",O8="High"),"Yes","No")</f>
        <v/>
      </c>
      <c r="Q8" s="4" t="inlineStr">
        <is>
          <t>Retroactive due diligence on active vendors; block onboarding without review</t>
        </is>
      </c>
      <c r="R8" s="31" t="n">
        <v>46295</v>
      </c>
      <c r="S8" s="5" t="inlineStr">
        <is>
          <t>Open</t>
        </is>
      </c>
      <c r="T8" s="32" t="n">
        <v>9500</v>
      </c>
      <c r="U8" s="32" t="n">
        <v>0</v>
      </c>
      <c r="V8" s="2">
        <f>IFERROR(R8-TODAY(),"")</f>
        <v/>
      </c>
      <c r="W8" s="2">
        <f>IF(AND(R8&lt;TODAY(),S8&lt;&gt;"Closed"),"Overdue","On Track")</f>
        <v/>
      </c>
      <c r="X8" s="4" t="inlineStr">
        <is>
          <t>Vendor inventory list; intake form stats</t>
        </is>
      </c>
    </row>
    <row r="9">
      <c r="A9" s="8" t="inlineStr">
        <is>
          <t>RA-008</t>
        </is>
      </c>
      <c r="B9" s="31" t="n">
        <v>46178</v>
      </c>
      <c r="C9" s="4" t="inlineStr">
        <is>
          <t>Human Resources</t>
        </is>
      </c>
      <c r="D9" s="4" t="inlineStr">
        <is>
          <t>Philadelphia, PA</t>
        </is>
      </c>
      <c r="E9" s="5" t="inlineStr">
        <is>
          <t>Records Retention</t>
        </is>
      </c>
      <c r="F9" s="4" t="inlineStr">
        <is>
          <t>Records Retention Policy / State Law</t>
        </is>
      </c>
      <c r="G9" s="4" t="inlineStr">
        <is>
          <t>Inactive employee files retained past disposal date</t>
        </is>
      </c>
      <c r="H9" s="5" t="inlineStr">
        <is>
          <t>Sarah Mitchell</t>
        </is>
      </c>
      <c r="I9" s="5" t="n">
        <v>2</v>
      </c>
      <c r="J9" s="5" t="n">
        <v>3</v>
      </c>
      <c r="K9" s="8">
        <f>I9*J9</f>
        <v/>
      </c>
      <c r="L9" s="4" t="inlineStr">
        <is>
          <t>Retention schedule; annual records purge</t>
        </is>
      </c>
      <c r="M9" s="6" t="n">
        <v>0.7</v>
      </c>
      <c r="N9" s="8">
        <f>ROUND(K9*(1-M9),1)</f>
        <v/>
      </c>
      <c r="O9" s="8">
        <f>IF(N9&gt;=15,"Critical",IF(N9&gt;=8,"High",IF(N9&gt;=4,"Medium","Low")))</f>
        <v/>
      </c>
      <c r="P9" s="8">
        <f>IF(OR(O9="Critical",O9="High"),"Yes","No")</f>
        <v/>
      </c>
      <c r="Q9" s="4" t="inlineStr">
        <is>
          <t>Schedule certified destruction of expired files and update inventory</t>
        </is>
      </c>
      <c r="R9" s="31" t="n">
        <v>46249</v>
      </c>
      <c r="S9" s="5" t="inlineStr">
        <is>
          <t>Open</t>
        </is>
      </c>
      <c r="T9" s="32" t="n">
        <v>2800</v>
      </c>
      <c r="U9" s="32" t="n">
        <v>0</v>
      </c>
      <c r="V9" s="8">
        <f>IFERROR(R9-TODAY(),"")</f>
        <v/>
      </c>
      <c r="W9" s="8">
        <f>IF(AND(R9&lt;TODAY(),S9&lt;&gt;"Closed"),"Overdue","On Track")</f>
        <v/>
      </c>
      <c r="X9" s="4" t="inlineStr">
        <is>
          <t>Records inventory; destruction vendor quote</t>
        </is>
      </c>
    </row>
    <row r="10">
      <c r="A10" s="2" t="inlineStr">
        <is>
          <t>RA-009</t>
        </is>
      </c>
      <c r="B10" s="31" t="n">
        <v>46227</v>
      </c>
      <c r="C10" s="4" t="inlineStr">
        <is>
          <t>IT Security</t>
        </is>
      </c>
      <c r="D10" s="4" t="inlineStr">
        <is>
          <t>Austin, TX</t>
        </is>
      </c>
      <c r="E10" s="5" t="inlineStr">
        <is>
          <t>Information Security</t>
        </is>
      </c>
      <c r="F10" s="4" t="inlineStr">
        <is>
          <t>Incident Response Plan / SOC 2 CC7</t>
        </is>
      </c>
      <c r="G10" s="4" t="inlineStr">
        <is>
          <t>Incident response plan not tested in over 12 months</t>
        </is>
      </c>
      <c r="H10" s="5" t="inlineStr">
        <is>
          <t>Robert Hayes</t>
        </is>
      </c>
      <c r="I10" s="5" t="n">
        <v>2</v>
      </c>
      <c r="J10" s="5" t="n">
        <v>4</v>
      </c>
      <c r="K10" s="2">
        <f>I10*J10</f>
        <v/>
      </c>
      <c r="L10" s="4" t="inlineStr">
        <is>
          <t>Documented IR plan; escalation contacts</t>
        </is>
      </c>
      <c r="M10" s="6" t="n">
        <v>0.3</v>
      </c>
      <c r="N10" s="2">
        <f>ROUND(K10*(1-M10),1)</f>
        <v/>
      </c>
      <c r="O10" s="2">
        <f>IF(N10&gt;=15,"Critical",IF(N10&gt;=8,"High",IF(N10&gt;=4,"Medium","Low")))</f>
        <v/>
      </c>
      <c r="P10" s="2">
        <f>IF(OR(O10="Critical",O10="High"),"Yes","No")</f>
        <v/>
      </c>
      <c r="Q10" s="4" t="inlineStr">
        <is>
          <t>Run tabletop exercise and update IR plan with lessons learned</t>
        </is>
      </c>
      <c r="R10" s="31" t="n">
        <v>46326</v>
      </c>
      <c r="S10" s="5" t="inlineStr">
        <is>
          <t>Open</t>
        </is>
      </c>
      <c r="T10" s="32" t="n">
        <v>1500</v>
      </c>
      <c r="U10" s="32" t="n">
        <v>0</v>
      </c>
      <c r="V10" s="2">
        <f>IFERROR(R10-TODAY(),"")</f>
        <v/>
      </c>
      <c r="W10" s="2">
        <f>IF(AND(R10&lt;TODAY(),S10&lt;&gt;"Closed"),"Overdue","On Track")</f>
        <v/>
      </c>
      <c r="X10" s="4" t="inlineStr">
        <is>
          <t>Last tabletop report dated 2025; IR plan v2</t>
        </is>
      </c>
    </row>
    <row r="11"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L11" s="9" t="n"/>
      <c r="M11" s="9" t="n"/>
      <c r="Q11" s="9" t="n"/>
      <c r="R11" s="9" t="n"/>
      <c r="S11" s="9" t="n"/>
      <c r="T11" s="9" t="n"/>
      <c r="U11" s="9" t="n"/>
      <c r="X11" s="9" t="n"/>
    </row>
    <row r="12"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L12" s="9" t="n"/>
      <c r="M12" s="9" t="n"/>
      <c r="Q12" s="9" t="n"/>
      <c r="R12" s="9" t="n"/>
      <c r="S12" s="9" t="n"/>
      <c r="T12" s="9" t="n"/>
      <c r="U12" s="9" t="n"/>
      <c r="X12" s="9" t="n"/>
    </row>
    <row r="13"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L13" s="9" t="n"/>
      <c r="M13" s="9" t="n"/>
      <c r="Q13" s="9" t="n"/>
      <c r="R13" s="9" t="n"/>
      <c r="S13" s="9" t="n"/>
      <c r="T13" s="9" t="n"/>
      <c r="U13" s="9" t="n"/>
      <c r="X13" s="9" t="n"/>
    </row>
    <row r="14"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L14" s="9" t="n"/>
      <c r="M14" s="9" t="n"/>
      <c r="Q14" s="9" t="n"/>
      <c r="R14" s="9" t="n"/>
      <c r="S14" s="9" t="n"/>
      <c r="T14" s="9" t="n"/>
      <c r="U14" s="9" t="n"/>
      <c r="X14" s="9" t="n"/>
    </row>
    <row r="15"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L15" s="9" t="n"/>
      <c r="M15" s="9" t="n"/>
      <c r="Q15" s="9" t="n"/>
      <c r="R15" s="9" t="n"/>
      <c r="S15" s="9" t="n"/>
      <c r="T15" s="9" t="n"/>
      <c r="U15" s="9" t="n"/>
      <c r="X15" s="9" t="n"/>
    </row>
    <row r="16"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L16" s="9" t="n"/>
      <c r="M16" s="9" t="n"/>
      <c r="Q16" s="9" t="n"/>
      <c r="R16" s="9" t="n"/>
      <c r="S16" s="9" t="n"/>
      <c r="T16" s="9" t="n"/>
      <c r="U16" s="9" t="n"/>
      <c r="X16" s="9" t="n"/>
    </row>
    <row r="17"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L17" s="9" t="n"/>
      <c r="M17" s="9" t="n"/>
      <c r="Q17" s="9" t="n"/>
      <c r="R17" s="9" t="n"/>
      <c r="S17" s="9" t="n"/>
      <c r="T17" s="9" t="n"/>
      <c r="U17" s="9" t="n"/>
      <c r="X17" s="9" t="n"/>
    </row>
    <row r="18"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L18" s="9" t="n"/>
      <c r="M18" s="9" t="n"/>
      <c r="Q18" s="9" t="n"/>
      <c r="R18" s="9" t="n"/>
      <c r="S18" s="9" t="n"/>
      <c r="T18" s="9" t="n"/>
      <c r="U18" s="9" t="n"/>
      <c r="X18" s="9" t="n"/>
    </row>
    <row r="19"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L19" s="9" t="n"/>
      <c r="M19" s="9" t="n"/>
      <c r="Q19" s="9" t="n"/>
      <c r="R19" s="9" t="n"/>
      <c r="S19" s="9" t="n"/>
      <c r="T19" s="9" t="n"/>
      <c r="U19" s="9" t="n"/>
      <c r="X19" s="9" t="n"/>
    </row>
    <row r="20"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L20" s="9" t="n"/>
      <c r="M20" s="9" t="n"/>
      <c r="Q20" s="9" t="n"/>
      <c r="R20" s="9" t="n"/>
      <c r="S20" s="9" t="n"/>
      <c r="T20" s="9" t="n"/>
      <c r="U20" s="9" t="n"/>
      <c r="X20" s="9" t="n"/>
    </row>
    <row r="21"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L21" s="9" t="n"/>
      <c r="M21" s="9" t="n"/>
      <c r="Q21" s="9" t="n"/>
      <c r="R21" s="9" t="n"/>
      <c r="S21" s="9" t="n"/>
      <c r="T21" s="9" t="n"/>
      <c r="U21" s="9" t="n"/>
      <c r="X21" s="9" t="n"/>
    </row>
    <row r="22"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L22" s="9" t="n"/>
      <c r="M22" s="9" t="n"/>
      <c r="Q22" s="9" t="n"/>
      <c r="R22" s="9" t="n"/>
      <c r="S22" s="9" t="n"/>
      <c r="T22" s="9" t="n"/>
      <c r="U22" s="9" t="n"/>
      <c r="X22" s="9" t="n"/>
    </row>
    <row r="23"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L23" s="9" t="n"/>
      <c r="M23" s="9" t="n"/>
      <c r="Q23" s="9" t="n"/>
      <c r="R23" s="9" t="n"/>
      <c r="S23" s="9" t="n"/>
      <c r="T23" s="9" t="n"/>
      <c r="U23" s="9" t="n"/>
      <c r="X23" s="9" t="n"/>
    </row>
    <row r="24"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L24" s="9" t="n"/>
      <c r="M24" s="9" t="n"/>
      <c r="Q24" s="9" t="n"/>
      <c r="R24" s="9" t="n"/>
      <c r="S24" s="9" t="n"/>
      <c r="T24" s="9" t="n"/>
      <c r="U24" s="9" t="n"/>
      <c r="X24" s="9" t="n"/>
    </row>
    <row r="25"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L25" s="9" t="n"/>
      <c r="M25" s="9" t="n"/>
      <c r="Q25" s="9" t="n"/>
      <c r="R25" s="9" t="n"/>
      <c r="S25" s="9" t="n"/>
      <c r="T25" s="9" t="n"/>
      <c r="U25" s="9" t="n"/>
      <c r="X25" s="9" t="n"/>
    </row>
    <row r="26"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L26" s="9" t="n"/>
      <c r="M26" s="9" t="n"/>
      <c r="Q26" s="9" t="n"/>
      <c r="R26" s="9" t="n"/>
      <c r="S26" s="9" t="n"/>
      <c r="T26" s="9" t="n"/>
      <c r="U26" s="9" t="n"/>
      <c r="X26" s="9" t="n"/>
    </row>
    <row r="27"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L27" s="9" t="n"/>
      <c r="M27" s="9" t="n"/>
      <c r="Q27" s="9" t="n"/>
      <c r="R27" s="9" t="n"/>
      <c r="S27" s="9" t="n"/>
      <c r="T27" s="9" t="n"/>
      <c r="U27" s="9" t="n"/>
      <c r="X27" s="9" t="n"/>
    </row>
    <row r="28"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L28" s="9" t="n"/>
      <c r="M28" s="9" t="n"/>
      <c r="Q28" s="9" t="n"/>
      <c r="R28" s="9" t="n"/>
      <c r="S28" s="9" t="n"/>
      <c r="T28" s="9" t="n"/>
      <c r="U28" s="9" t="n"/>
      <c r="X28" s="9" t="n"/>
    </row>
    <row r="29"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L29" s="9" t="n"/>
      <c r="M29" s="9" t="n"/>
      <c r="Q29" s="9" t="n"/>
      <c r="R29" s="9" t="n"/>
      <c r="S29" s="9" t="n"/>
      <c r="T29" s="9" t="n"/>
      <c r="U29" s="9" t="n"/>
      <c r="X29" s="9" t="n"/>
    </row>
    <row r="30"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L30" s="9" t="n"/>
      <c r="M30" s="9" t="n"/>
      <c r="Q30" s="9" t="n"/>
      <c r="R30" s="9" t="n"/>
      <c r="S30" s="9" t="n"/>
      <c r="T30" s="9" t="n"/>
      <c r="U30" s="9" t="n"/>
      <c r="X30" s="9" t="n"/>
    </row>
    <row r="31"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L31" s="9" t="n"/>
      <c r="M31" s="9" t="n"/>
      <c r="Q31" s="9" t="n"/>
      <c r="R31" s="9" t="n"/>
      <c r="S31" s="9" t="n"/>
      <c r="T31" s="9" t="n"/>
      <c r="U31" s="9" t="n"/>
      <c r="X31" s="9" t="n"/>
    </row>
    <row r="32"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L32" s="9" t="n"/>
      <c r="M32" s="9" t="n"/>
      <c r="Q32" s="9" t="n"/>
      <c r="R32" s="9" t="n"/>
      <c r="S32" s="9" t="n"/>
      <c r="T32" s="9" t="n"/>
      <c r="U32" s="9" t="n"/>
      <c r="X32" s="9" t="n"/>
    </row>
    <row r="33"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L33" s="9" t="n"/>
      <c r="M33" s="9" t="n"/>
      <c r="Q33" s="9" t="n"/>
      <c r="R33" s="9" t="n"/>
      <c r="S33" s="9" t="n"/>
      <c r="T33" s="9" t="n"/>
      <c r="U33" s="9" t="n"/>
      <c r="X33" s="9" t="n"/>
    </row>
    <row r="34"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L34" s="9" t="n"/>
      <c r="M34" s="9" t="n"/>
      <c r="Q34" s="9" t="n"/>
      <c r="R34" s="9" t="n"/>
      <c r="S34" s="9" t="n"/>
      <c r="T34" s="9" t="n"/>
      <c r="U34" s="9" t="n"/>
      <c r="X34" s="9" t="n"/>
    </row>
    <row r="35"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L35" s="9" t="n"/>
      <c r="M35" s="9" t="n"/>
      <c r="Q35" s="9" t="n"/>
      <c r="R35" s="9" t="n"/>
      <c r="S35" s="9" t="n"/>
      <c r="T35" s="9" t="n"/>
      <c r="U35" s="9" t="n"/>
      <c r="X35" s="9" t="n"/>
    </row>
    <row r="36"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L36" s="9" t="n"/>
      <c r="M36" s="9" t="n"/>
      <c r="Q36" s="9" t="n"/>
      <c r="R36" s="9" t="n"/>
      <c r="S36" s="9" t="n"/>
      <c r="T36" s="9" t="n"/>
      <c r="U36" s="9" t="n"/>
      <c r="X36" s="9" t="n"/>
    </row>
    <row r="37"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L37" s="9" t="n"/>
      <c r="M37" s="9" t="n"/>
      <c r="Q37" s="9" t="n"/>
      <c r="R37" s="9" t="n"/>
      <c r="S37" s="9" t="n"/>
      <c r="T37" s="9" t="n"/>
      <c r="U37" s="9" t="n"/>
      <c r="X37" s="9" t="n"/>
    </row>
    <row r="38"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L38" s="9" t="n"/>
      <c r="M38" s="9" t="n"/>
      <c r="Q38" s="9" t="n"/>
      <c r="R38" s="9" t="n"/>
      <c r="S38" s="9" t="n"/>
      <c r="T38" s="9" t="n"/>
      <c r="U38" s="9" t="n"/>
      <c r="X38" s="9" t="n"/>
    </row>
    <row r="39"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L39" s="9" t="n"/>
      <c r="M39" s="9" t="n"/>
      <c r="Q39" s="9" t="n"/>
      <c r="R39" s="9" t="n"/>
      <c r="S39" s="9" t="n"/>
      <c r="T39" s="9" t="n"/>
      <c r="U39" s="9" t="n"/>
      <c r="X39" s="9" t="n"/>
    </row>
    <row r="40"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L40" s="9" t="n"/>
      <c r="M40" s="9" t="n"/>
      <c r="Q40" s="9" t="n"/>
      <c r="R40" s="9" t="n"/>
      <c r="S40" s="9" t="n"/>
      <c r="T40" s="9" t="n"/>
      <c r="U40" s="9" t="n"/>
      <c r="X40" s="9" t="n"/>
    </row>
  </sheetData>
  <conditionalFormatting sqref="O2:O50">
    <cfRule type="expression" priority="1" dxfId="0" stopIfTrue="1">
      <formula>O2="Critical"</formula>
    </cfRule>
    <cfRule type="expression" priority="2" dxfId="0" stopIfTrue="1">
      <formula>O2="High"</formula>
    </cfRule>
    <cfRule type="expression" priority="3" dxfId="1" stopIfTrue="1">
      <formula>O2="Medium"</formula>
    </cfRule>
    <cfRule type="expression" priority="4" dxfId="2" stopIfTrue="1">
      <formula>O2="Low"</formula>
    </cfRule>
  </conditionalFormatting>
  <conditionalFormatting sqref="W2:W50">
    <cfRule type="expression" priority="5" dxfId="0" stopIfTrue="1">
      <formula>W2="Overdue"</formula>
    </cfRule>
  </conditionalFormatting>
  <conditionalFormatting sqref="S2:S50">
    <cfRule type="expression" priority="6" dxfId="2" stopIfTrue="1">
      <formula>S2="Closed"</formula>
    </cfRule>
  </conditionalFormatting>
  <dataValidations count="3">
    <dataValidation sqref="I2:J50" showErrorMessage="1" showInputMessage="1" allowBlank="1" type="list">
      <formula1>"1,2,3,4,5"</formula1>
    </dataValidation>
    <dataValidation sqref="S2:S50" showErrorMessage="1" showInputMessage="1" allowBlank="1" type="list">
      <formula1>"Open,In Progress,Closed,Accepted"</formula1>
    </dataValidation>
    <dataValidation sqref="E2:E50" showErrorMessage="1" showInputMessage="1" allowBlank="1" type="list">
      <formula1>"Privacy,Employment,OSHA,Financial Reporting,Records Retention,Information Security,Payroll,Vendor Management"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6" customWidth="1" min="3" max="3"/>
    <col width="3" customWidth="1" min="4" max="4"/>
    <col width="26" customWidth="1" min="5" max="5"/>
    <col width="16" customWidth="1" min="6" max="6"/>
    <col width="3" customWidth="1" min="7" max="7"/>
    <col width="24" customWidth="1" min="8" max="8"/>
    <col width="14" customWidth="1" min="9" max="9"/>
    <col width="14" customWidth="1" min="10" max="10"/>
  </cols>
  <sheetData>
    <row r="1">
      <c r="B1" s="10" t="inlineStr">
        <is>
          <t>Compliance Risk Dashboard — 2026</t>
        </is>
      </c>
    </row>
    <row r="2"/>
    <row r="3">
      <c r="B3" s="1" t="inlineStr">
        <is>
          <t>Total Assessments</t>
        </is>
      </c>
      <c r="C3" s="11" t="n"/>
      <c r="D3" s="1" t="inlineStr">
        <is>
          <t>Open Risks</t>
        </is>
      </c>
      <c r="E3" s="11" t="n"/>
      <c r="F3" s="12" t="inlineStr">
        <is>
          <t>Critical / High Risks</t>
        </is>
      </c>
      <c r="G3" s="11" t="n"/>
      <c r="H3" s="11" t="n"/>
    </row>
    <row r="4" ht="26" customHeight="1">
      <c r="B4" s="13">
        <f>COUNTA('Risk Assessment'!A2:A1000)</f>
        <v/>
      </c>
      <c r="C4" s="11" t="n"/>
      <c r="D4" s="13">
        <f>COUNTIF('Risk Assessment'!S2:S1000,"&lt;&gt;Closed")</f>
        <v/>
      </c>
      <c r="E4" s="11" t="n"/>
      <c r="F4" s="13">
        <f>COUNTIF('Risk Assessment'!O2:O1000,"Critical")+COUNTIF('Risk Assessment'!O2:O1000,"High")</f>
        <v/>
      </c>
      <c r="G4" s="11" t="n"/>
      <c r="H4" s="11" t="n"/>
    </row>
    <row r="5"/>
    <row r="6"/>
    <row r="7">
      <c r="B7" s="1" t="inlineStr">
        <is>
          <t>Average Residual Risk</t>
        </is>
      </c>
      <c r="C7" s="11" t="n"/>
      <c r="D7" s="1" t="inlineStr">
        <is>
          <t>Total Estimated Cost</t>
        </is>
      </c>
      <c r="E7" s="11" t="n"/>
      <c r="F7" s="1" t="inlineStr">
        <is>
          <t>Total Actual Cost</t>
        </is>
      </c>
      <c r="G7" s="11" t="n"/>
      <c r="H7" s="11" t="n"/>
    </row>
    <row r="8" ht="26" customHeight="1">
      <c r="B8" s="33">
        <f>IFERROR(AVERAGE('Risk Assessment'!N2:N1000),0)</f>
        <v/>
      </c>
      <c r="C8" s="11" t="n"/>
      <c r="D8" s="34">
        <f>SUM('Risk Assessment'!T2:T1000)</f>
        <v/>
      </c>
      <c r="E8" s="11" t="n"/>
      <c r="F8" s="34">
        <f>SUM('Risk Assessment'!U2:U1000)</f>
        <v/>
      </c>
      <c r="G8" s="11" t="n"/>
      <c r="H8" s="11" t="n"/>
    </row>
    <row r="9"/>
    <row r="10"/>
    <row r="11">
      <c r="B11" s="17" t="inlineStr">
        <is>
          <t>Risks by Rating</t>
        </is>
      </c>
      <c r="D11" s="17" t="inlineStr">
        <is>
          <t>Risks by Compliance Area</t>
        </is>
      </c>
    </row>
    <row r="12">
      <c r="B12" s="18" t="inlineStr">
        <is>
          <t>Risk Rating</t>
        </is>
      </c>
      <c r="C12" s="18" t="inlineStr">
        <is>
          <t>Count</t>
        </is>
      </c>
      <c r="D12" s="1" t="inlineStr">
        <is>
          <t>Compliance Area</t>
        </is>
      </c>
      <c r="E12" s="1" t="inlineStr">
        <is>
          <t>Count</t>
        </is>
      </c>
      <c r="F12" s="1" t="inlineStr">
        <is>
          <t>Avg Residual</t>
        </is>
      </c>
      <c r="G12" s="1" t="inlineStr">
        <is>
          <t>Est. Cost</t>
        </is>
      </c>
      <c r="H12" s="1" t="inlineStr">
        <is>
          <t>Actual Cost</t>
        </is>
      </c>
    </row>
    <row r="13">
      <c r="B13" s="19" t="inlineStr">
        <is>
          <t>Critical</t>
        </is>
      </c>
      <c r="C13" s="2">
        <f>COUNTIF('Risk Assessment'!O2:O1000,"Critical")</f>
        <v/>
      </c>
      <c r="D13" s="19" t="inlineStr">
        <is>
          <t>Privacy</t>
        </is>
      </c>
      <c r="E13" s="2">
        <f>COUNTIF('Risk Assessment'!E2:E1000,"Privacy")</f>
        <v/>
      </c>
      <c r="F13" s="35">
        <f>IFERROR(AVERAGEIF('Risk Assessment'!E2:E1000,"Privacy",'Risk Assessment'!N2:N1000),0)</f>
        <v/>
      </c>
      <c r="G13" s="36">
        <f>SUMIF('Risk Assessment'!E2:E1000,"Privacy",'Risk Assessment'!T2:T1000)</f>
        <v/>
      </c>
      <c r="H13" s="36">
        <f>SUMIF('Risk Assessment'!E2:E1000,"Privacy",'Risk Assessment'!U2:U1000)</f>
        <v/>
      </c>
    </row>
    <row r="14">
      <c r="B14" s="22" t="inlineStr">
        <is>
          <t>High</t>
        </is>
      </c>
      <c r="C14" s="8">
        <f>COUNTIF('Risk Assessment'!O2:O1000,"High")</f>
        <v/>
      </c>
      <c r="D14" s="22" t="inlineStr">
        <is>
          <t>Employment</t>
        </is>
      </c>
      <c r="E14" s="8">
        <f>COUNTIF('Risk Assessment'!E2:E1000,"Employment")</f>
        <v/>
      </c>
      <c r="F14" s="37">
        <f>IFERROR(AVERAGEIF('Risk Assessment'!E2:E1000,"Employment",'Risk Assessment'!N2:N1000),0)</f>
        <v/>
      </c>
      <c r="G14" s="38">
        <f>SUMIF('Risk Assessment'!E2:E1000,"Employment",'Risk Assessment'!T2:T1000)</f>
        <v/>
      </c>
      <c r="H14" s="38">
        <f>SUMIF('Risk Assessment'!E2:E1000,"Employment",'Risk Assessment'!U2:U1000)</f>
        <v/>
      </c>
    </row>
    <row r="15">
      <c r="B15" s="19" t="inlineStr">
        <is>
          <t>Medium</t>
        </is>
      </c>
      <c r="C15" s="2">
        <f>COUNTIF('Risk Assessment'!O2:O1000,"Medium")</f>
        <v/>
      </c>
      <c r="D15" s="19" t="inlineStr">
        <is>
          <t>OSHA</t>
        </is>
      </c>
      <c r="E15" s="2">
        <f>COUNTIF('Risk Assessment'!E2:E1000,"OSHA")</f>
        <v/>
      </c>
      <c r="F15" s="35">
        <f>IFERROR(AVERAGEIF('Risk Assessment'!E2:E1000,"OSHA",'Risk Assessment'!N2:N1000),0)</f>
        <v/>
      </c>
      <c r="G15" s="36">
        <f>SUMIF('Risk Assessment'!E2:E1000,"OSHA",'Risk Assessment'!T2:T1000)</f>
        <v/>
      </c>
      <c r="H15" s="36">
        <f>SUMIF('Risk Assessment'!E2:E1000,"OSHA",'Risk Assessment'!U2:U1000)</f>
        <v/>
      </c>
    </row>
    <row r="16">
      <c r="B16" s="22" t="inlineStr">
        <is>
          <t>Low</t>
        </is>
      </c>
      <c r="C16" s="8">
        <f>COUNTIF('Risk Assessment'!O2:O1000,"Low")</f>
        <v/>
      </c>
      <c r="D16" s="22" t="inlineStr">
        <is>
          <t>Financial Reporting</t>
        </is>
      </c>
      <c r="E16" s="8">
        <f>COUNTIF('Risk Assessment'!E2:E1000,"Financial Reporting")</f>
        <v/>
      </c>
      <c r="F16" s="37">
        <f>IFERROR(AVERAGEIF('Risk Assessment'!E2:E1000,"Financial Reporting",'Risk Assessment'!N2:N1000),0)</f>
        <v/>
      </c>
      <c r="G16" s="38">
        <f>SUMIF('Risk Assessment'!E2:E1000,"Financial Reporting",'Risk Assessment'!T2:T1000)</f>
        <v/>
      </c>
      <c r="H16" s="38">
        <f>SUMIF('Risk Assessment'!E2:E1000,"Financial Reporting",'Risk Assessment'!U2:U1000)</f>
        <v/>
      </c>
    </row>
    <row r="17">
      <c r="D17" s="19" t="inlineStr">
        <is>
          <t>Records Retention</t>
        </is>
      </c>
      <c r="E17" s="2">
        <f>COUNTIF('Risk Assessment'!E2:E1000,"Records Retention")</f>
        <v/>
      </c>
      <c r="F17" s="35">
        <f>IFERROR(AVERAGEIF('Risk Assessment'!E2:E1000,"Records Retention",'Risk Assessment'!N2:N1000),0)</f>
        <v/>
      </c>
      <c r="G17" s="36">
        <f>SUMIF('Risk Assessment'!E2:E1000,"Records Retention",'Risk Assessment'!T2:T1000)</f>
        <v/>
      </c>
      <c r="H17" s="36">
        <f>SUMIF('Risk Assessment'!E2:E1000,"Records Retention",'Risk Assessment'!U2:U1000)</f>
        <v/>
      </c>
    </row>
    <row r="18">
      <c r="D18" s="22" t="inlineStr">
        <is>
          <t>Information Security</t>
        </is>
      </c>
      <c r="E18" s="8">
        <f>COUNTIF('Risk Assessment'!E2:E1000,"Information Security")</f>
        <v/>
      </c>
      <c r="F18" s="37">
        <f>IFERROR(AVERAGEIF('Risk Assessment'!E2:E1000,"Information Security",'Risk Assessment'!N2:N1000),0)</f>
        <v/>
      </c>
      <c r="G18" s="38">
        <f>SUMIF('Risk Assessment'!E2:E1000,"Information Security",'Risk Assessment'!T2:T1000)</f>
        <v/>
      </c>
      <c r="H18" s="38">
        <f>SUMIF('Risk Assessment'!E2:E1000,"Information Security",'Risk Assessment'!U2:U1000)</f>
        <v/>
      </c>
    </row>
    <row r="19">
      <c r="D19" s="19" t="inlineStr">
        <is>
          <t>Payroll</t>
        </is>
      </c>
      <c r="E19" s="2">
        <f>COUNTIF('Risk Assessment'!E2:E1000,"Payroll")</f>
        <v/>
      </c>
      <c r="F19" s="35">
        <f>IFERROR(AVERAGEIF('Risk Assessment'!E2:E1000,"Payroll",'Risk Assessment'!N2:N1000),0)</f>
        <v/>
      </c>
      <c r="G19" s="36">
        <f>SUMIF('Risk Assessment'!E2:E1000,"Payroll",'Risk Assessment'!T2:T1000)</f>
        <v/>
      </c>
      <c r="H19" s="36">
        <f>SUMIF('Risk Assessment'!E2:E1000,"Payroll",'Risk Assessment'!U2:U1000)</f>
        <v/>
      </c>
    </row>
    <row r="20">
      <c r="D20" s="22" t="inlineStr">
        <is>
          <t>Vendor Management</t>
        </is>
      </c>
      <c r="E20" s="8">
        <f>COUNTIF('Risk Assessment'!E2:E1000,"Vendor Management")</f>
        <v/>
      </c>
      <c r="F20" s="37">
        <f>IFERROR(AVERAGEIF('Risk Assessment'!E2:E1000,"Vendor Management",'Risk Assessment'!N2:N1000),0)</f>
        <v/>
      </c>
      <c r="G20" s="38">
        <f>SUMIF('Risk Assessment'!E2:E1000,"Vendor Management",'Risk Assessment'!T2:T1000)</f>
        <v/>
      </c>
      <c r="H20" s="38">
        <f>SUMIF('Risk Assessment'!E2:E1000,"Vendor Management",'Risk Assessment'!U2:U1000)</f>
        <v/>
      </c>
    </row>
    <row r="21"/>
    <row r="22"/>
    <row r="23">
      <c r="B23" s="17" t="inlineStr">
        <is>
          <t>Risk Lookup (enter Risk ID)</t>
        </is>
      </c>
    </row>
    <row r="24">
      <c r="B24" s="5" t="inlineStr">
        <is>
          <t>RA-001</t>
        </is>
      </c>
    </row>
    <row r="25">
      <c r="B25" s="25" t="inlineStr">
        <is>
          <t>Risk Owner</t>
        </is>
      </c>
      <c r="C25" s="22">
        <f>IFERROR(VLOOKUP($B$24,'Risk Assessment'!$A$2:$X$1000,3,FALSE),"")</f>
        <v/>
      </c>
    </row>
    <row r="26">
      <c r="B26" s="25" t="inlineStr">
        <is>
          <t>Regulation</t>
        </is>
      </c>
      <c r="C26" s="22">
        <f>IFERROR(VLOOKUP($B$24,'Risk Assessment'!$A$2:$X$1000,6,FALSE),"")</f>
        <v/>
      </c>
    </row>
    <row r="27">
      <c r="B27" s="25" t="inlineStr">
        <is>
          <t>Risk Rating</t>
        </is>
      </c>
      <c r="C27" s="22">
        <f>IFERROR(VLOOKUP($B$24,'Risk Assessment'!$A$2:$X$1000,15,FALSE),"")</f>
        <v/>
      </c>
    </row>
    <row r="28">
      <c r="B28" s="25" t="inlineStr">
        <is>
          <t>Status</t>
        </is>
      </c>
      <c r="C28" s="22">
        <f>IFERROR(VLOOKUP($B$24,'Risk Assessment'!$A$2:$X$1000,19,FALSE),"")</f>
        <v/>
      </c>
    </row>
    <row r="29">
      <c r="B29" s="25" t="inlineStr">
        <is>
          <t>Target Date</t>
        </is>
      </c>
      <c r="C29" s="39">
        <f>IFERROR(VLOOKUP($B$24,'Risk Assessment'!$A$2:$X$1000,18,FALSE),"")</f>
        <v/>
      </c>
    </row>
  </sheetData>
  <mergeCells count="17">
    <mergeCell ref="B1:J1"/>
    <mergeCell ref="B3:C3"/>
    <mergeCell ref="B4:C4"/>
    <mergeCell ref="D3:E3"/>
    <mergeCell ref="D4:E4"/>
    <mergeCell ref="F3:G3"/>
    <mergeCell ref="F4:G4"/>
    <mergeCell ref="G3:H3"/>
    <mergeCell ref="G4:H4"/>
    <mergeCell ref="B7:C7"/>
    <mergeCell ref="B8:C8"/>
    <mergeCell ref="D7:E7"/>
    <mergeCell ref="D8:E8"/>
    <mergeCell ref="F7:G7"/>
    <mergeCell ref="F8:G8"/>
    <mergeCell ref="G7:H7"/>
    <mergeCell ref="G8:H8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8" customHeight="1">
      <c r="B1" s="27" t="inlineStr">
        <is>
          <t>Compliance Risk Assessment Template — Instructions</t>
        </is>
      </c>
    </row>
    <row r="2"/>
    <row r="3">
      <c r="B3" s="28" t="inlineStr">
        <is>
          <t>Overview</t>
        </is>
      </c>
    </row>
    <row r="4" ht="32" customHeight="1">
      <c r="B4" s="29" t="inlineStr">
        <is>
          <t>This workbook helps US organizations identify, score, and track compliance risks, assign owners, manage remediation actions, and summarize overall risk exposure.</t>
        </is>
      </c>
    </row>
    <row r="5">
      <c r="B5" s="28" t="inlineStr">
        <is>
          <t>Risk Assessment Sheet</t>
        </is>
      </c>
    </row>
    <row r="6" ht="32" customHeight="1">
      <c r="B6" s="30" t="inlineStr">
        <is>
          <t>Enter one risk per row. Yellow cells are editable input fields; navy-tinted formula cells calculate automatically.</t>
        </is>
      </c>
    </row>
    <row r="7">
      <c r="B7" s="28" t="inlineStr">
        <is>
          <t>Scoring</t>
        </is>
      </c>
    </row>
    <row r="8" ht="32" customHeight="1">
      <c r="B8" s="29" t="inlineStr">
        <is>
          <t>Score Likelihood and Impact from 1 (lowest) to 5 (highest). Inherent Risk = Likelihood x Impact. Residual Risk = Inherent Risk adjusted by Control Effectiveness.</t>
        </is>
      </c>
    </row>
    <row r="9">
      <c r="B9" s="28" t="inlineStr">
        <is>
          <t>Requirements</t>
        </is>
      </c>
    </row>
    <row r="10" ht="32" customHeight="1">
      <c r="B10" s="30" t="inlineStr">
        <is>
          <t>Document the applicable laws, regulations, internal policies, or contractual requirements for each risk.</t>
        </is>
      </c>
    </row>
    <row r="11">
      <c r="B11" s="28" t="inlineStr">
        <is>
          <t>Controls</t>
        </is>
      </c>
    </row>
    <row r="12" ht="32" customHeight="1">
      <c r="B12" s="29" t="inlineStr">
        <is>
          <t>Describe existing controls and estimate Control Effectiveness as a percentage (0% to 100%).</t>
        </is>
      </c>
    </row>
    <row r="13">
      <c r="B13" s="28" t="inlineStr">
        <is>
          <t>Ownership &amp; Dates</t>
        </is>
      </c>
    </row>
    <row r="14" ht="32" customHeight="1">
      <c r="B14" s="30" t="inlineStr">
        <is>
          <t>Assign a responsible Risk Owner and a realistic Target Date for every remediation action.</t>
        </is>
      </c>
    </row>
    <row r="15">
      <c r="B15" s="28" t="inlineStr">
        <is>
          <t>US References</t>
        </is>
      </c>
    </row>
    <row r="16" ht="32" customHeight="1">
      <c r="B16" s="29" t="inlineStr">
        <is>
          <t>Use US frameworks where applicable: OSHA, IRS, HIPAA, PCI DSS, SOC 2, FICA/payroll requirements, W-2/W-9/1099 documentation, and state privacy laws such as CCPA.</t>
        </is>
      </c>
    </row>
    <row r="17">
      <c r="B17" s="28" t="inlineStr">
        <is>
          <t>Monitoring</t>
        </is>
      </c>
    </row>
    <row r="18" ht="32" customHeight="1">
      <c r="B18" s="30" t="inlineStr">
        <is>
          <t>Review the Dashboard regularly. Focus first on Critical/High ratings and any item flagged as Overdue.</t>
        </is>
      </c>
    </row>
    <row r="19">
      <c r="B19" s="28" t="inlineStr">
        <is>
          <t>Status Values</t>
        </is>
      </c>
    </row>
    <row r="20" ht="32" customHeight="1">
      <c r="B20" s="29" t="inlineStr">
        <is>
          <t>Use Open, In Progress, Closed, or Accepted. Closed items no longer count as open risks.</t>
        </is>
      </c>
    </row>
    <row r="21">
      <c r="B21" s="28" t="inlineStr">
        <is>
          <t>Data Privacy</t>
        </is>
      </c>
    </row>
    <row r="22" ht="32" customHeight="1">
      <c r="B22" s="30" t="inlineStr">
        <is>
          <t>Do NOT enter actual SSNs, passwords, confidential medical information, or other sensitive personal data in this workbook.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2026-07-30T12:48:19Z</dcterms:created>
  <dcterms:modified xmlns:dcterms="http://purl.org/dc/terms/" xmlns:xsi="http://www.w3.org/2001/XMLSchema-instance" xsi:type="dcterms:W3CDTF">2026-07-30T12:48:19Z</dcterms:modified>
</cp:coreProperties>
</file>